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<sst xmlns="http://schemas.openxmlformats.org/spreadsheetml/2006/main" count="124" uniqueCount="121">
  <si>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</si>
  <si>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</si>
  <si>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</si>
  <si>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</si>
  <si>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</si>
  <si>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</si>
  <si>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</si>
  <si>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</si>
  <si>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</si>
  <si>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</si>
  <si>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</si>
  <si>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</si>
  <si>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</si>
  <si>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</si>
  <si>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</si>
  <si>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</si>
  <si>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</si>
  <si>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</si>
  <si>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</si>
  <si>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</si>
  <si>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</si>
  <si>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</si>
  <si>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</si>
  <si>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</si>
  <si>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</si>
  <si>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</si>
  <si>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</si>
  <si>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</si>
  <si>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</si>
  <si>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</si>
  <si>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</si>
  <si>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</si>
  <si>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</si>
  <si>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</si>
  <si>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</si>
  <si>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</si>
  <si>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</si>
  <si>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</si>
  <si>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</si>
  <si>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</si>
  <si>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</si>
  <si>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</si>
  <si>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</si>
  <si>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</si>
  <si>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</si>
  <si>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</si>
  <si>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</si>
  <si>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</si>
  <si>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</si>
  <si>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</si>
  <si>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</si>
  <si>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</si>
  <si>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</si>
  <si>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</si>
  <si>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</si>
  <si>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</si>
  <si>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</si>
  <si>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</si>
  <si>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</si>
  <si>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</si>
  <si>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</si>
  <si>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</si>
  <si>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</si>
  <si>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</si>
  <si>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</si>
  <si>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</si>
  <si>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</si>
  <si>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</si>
  <si>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</si>
  <si>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</si>
  <si>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</si>
  <si>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</si>
  <si>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</si>
  <si>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</si>
  <si>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</si>
  <si>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</si>
  <si>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</si>
  <si>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</si>
  <si>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</si>
  <si>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</si>
  <si>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</si>
  <si>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</si>
  <si>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</si>
  <si>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</si>
  <si>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</si>
  <si>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</si>
  <si>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</si>
  <si>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</si>
  <si>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</si>
  <si>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</si>
  <si>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</si>
  <si>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</si>
  <si>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</si>
  <si>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</si>
  <si>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</si>
  <si>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</si>
  <si>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</si>
  <si>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</si>
  <si>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</si>
  <si>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</si>
  <si>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</si>
  <si>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</si>
  <si>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</si>
  <si>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</si>
  <si>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</si>
  <si>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</si>
  <si>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</si>
  <si>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</si>
  <si>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</si>
  <si>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</si>
  <si>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</si>
  <si>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</si>
  <si>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</si>
  <si>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</si>
  <si>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</si>
  <si>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</si>
  <si>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</si>
  <si>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 xml:space="preserve">ГОЛОВНИЙ РОЗПОРЯДНИК КОШТІВ - ДЕПАРТАМЕНТ ЖИТЛОВО-КОМУНАЛЬНОГО КОМПЛЕКСУ </t>
  </si>
  <si>
    <t>Відсоток виконання до плану 11 місяців</t>
  </si>
  <si>
    <t>Залишок призначень до плану 11 місяців</t>
  </si>
  <si>
    <t>Профінансовано станом на 07.11.16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</si>
</sst>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1" width="0" style="7" hidden="1" customWidth="1"/>
    <col min="32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40</v>
      </c>
      <c r="J4" s="84" t="s">
        <v>118</v>
      </c>
      <c r="K4" s="89" t="s">
        <v>119</v>
      </c>
      <c r="L4" s="84" t="s">
        <v>41</v>
      </c>
      <c r="M4" s="84" t="s">
        <v>42</v>
      </c>
      <c r="N4" s="84" t="s">
        <v>43</v>
      </c>
      <c r="O4" s="84" t="s">
        <v>44</v>
      </c>
      <c r="P4" s="84" t="s">
        <v>45</v>
      </c>
      <c r="Q4" s="84" t="s">
        <v>46</v>
      </c>
      <c r="R4" s="84" t="s">
        <v>47</v>
      </c>
      <c r="S4" s="84" t="s">
        <v>48</v>
      </c>
      <c r="T4" s="84" t="s">
        <v>49</v>
      </c>
      <c r="U4" s="84" t="s">
        <v>50</v>
      </c>
      <c r="V4" s="84" t="s">
        <v>51</v>
      </c>
      <c r="W4" s="84" t="s">
        <v>52</v>
      </c>
      <c r="X4" s="84" t="s">
        <v>53</v>
      </c>
    </row>
    <row r="5" spans="1:26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Z5" s="55" t="s">
        <v>115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117</v>
      </c>
      <c r="B7" s="87"/>
      <c r="C7" s="87"/>
      <c r="D7" s="87"/>
      <c r="E7" s="87"/>
      <c r="F7" s="87"/>
      <c r="G7" s="87"/>
      <c r="H7" s="87"/>
      <c r="I7" s="88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159205947.87</v>
      </c>
      <c r="E8" s="20">
        <f>E9+E25</f>
        <v>44712047.07</v>
      </c>
      <c r="F8" s="20">
        <f>F9+F25</f>
        <v>114493900.8</v>
      </c>
      <c r="G8" s="20">
        <f>G9+G25</f>
        <v>114493900.8</v>
      </c>
      <c r="H8" s="20">
        <f>H9+H25</f>
        <v>137699551.87</v>
      </c>
      <c r="I8" s="70">
        <f>H8/D8*100</f>
        <v>86.49146197881934</v>
      </c>
      <c r="J8" s="70">
        <f>H8/(L8+M8+N8+O8+P8+Q8+R8+U8+N25+O25+P25+Q25+R25+S8+S25+T8+T25+U25+V8)*100</f>
        <v>96.20195974130625</v>
      </c>
      <c r="K8" s="63">
        <f>K9+K17</f>
        <v>7140548.099999999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16</v>
      </c>
      <c r="D9" s="23">
        <f>D11+D13+D12+D14+D17+D10+D15+D16</f>
        <v>44712047.07</v>
      </c>
      <c r="E9" s="23">
        <f>E11+E13+E12+E14+E17+E10+E15+E16</f>
        <v>44712047.07</v>
      </c>
      <c r="F9" s="23"/>
      <c r="G9" s="23"/>
      <c r="H9" s="23">
        <f>H11+H13+H12+H14+H17+H10+H15+H16</f>
        <v>32841393.940000005</v>
      </c>
      <c r="I9" s="45">
        <f>H9/D9*100</f>
        <v>73.45088425180887</v>
      </c>
      <c r="J9" s="45">
        <f>H9/(L9+M9+N9+O9+P9+Q9+R9+S9+U9+T9+M17+N17+O17+P17+Q17+R17+S17+T17+U17+V9)*100</f>
        <v>82.44989387416774</v>
      </c>
      <c r="K9" s="23">
        <f>L9+M9+N9+O9+P9+Q9+R9+S9+T9+U9+V9-H10-H11-H12-H13-H14-H15-H16</f>
        <v>5580677.47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17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81.07148254999721</v>
      </c>
      <c r="J10" s="92">
        <f>(H10+H11+H12+H13+H14+H15+H16)/(L9+M9+N9+O9+P9+Q9+R9+S9+T9+U9+V9)*100</f>
        <v>79.974256256513</v>
      </c>
      <c r="K10" s="51">
        <f>E10-H10</f>
        <v>3378929.6499999985</v>
      </c>
      <c r="Y10" s="69"/>
    </row>
    <row r="11" spans="1:25" ht="18.75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19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</f>
        <v>3488881.3400000003</v>
      </c>
      <c r="I12" s="46">
        <f>H12/D12*100</f>
        <v>91.36921884161376</v>
      </c>
      <c r="J12" s="93"/>
      <c r="K12" s="51">
        <f t="shared" si="2"/>
        <v>329561.43999999994</v>
      </c>
      <c r="Y12" s="69"/>
    </row>
    <row r="13" spans="1:25" ht="18.75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93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99.98540577484614</v>
      </c>
      <c r="J15" s="93"/>
      <c r="K15" s="51">
        <f t="shared" si="2"/>
        <v>307.5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</f>
        <v>157803</v>
      </c>
      <c r="I16" s="46">
        <f t="shared" si="3"/>
        <v>6.987286298652999</v>
      </c>
      <c r="J16" s="94"/>
      <c r="K16" s="51">
        <f t="shared" si="2"/>
        <v>2100627.4299999997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15315700</v>
      </c>
      <c r="E17" s="25">
        <f>E19+E20+E21+E22+E23+E24+E18</f>
        <v>15315700</v>
      </c>
      <c r="F17" s="25"/>
      <c r="G17" s="12"/>
      <c r="H17" s="25">
        <f>H21+H18+H19+H20+H22+H23+H24</f>
        <v>10554554.770000001</v>
      </c>
      <c r="I17" s="46">
        <f t="shared" si="3"/>
        <v>68.9133031464445</v>
      </c>
      <c r="J17" s="92">
        <f>H17/(L17+M17+N17+O17+P17+Q17+R17+S17+T17+U17+V17)*100</f>
        <v>87.12385789259143</v>
      </c>
      <c r="K17" s="71">
        <f>L17+M17+N17+O17+P17+Q17+R17+S17+T17+U17+V17-H17</f>
        <v>1559870.629999999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21</v>
      </c>
      <c r="D18" s="27">
        <f aca="true" t="shared" si="4" ref="D18:D23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63.03485269056576</v>
      </c>
      <c r="J18" s="93"/>
      <c r="K18" s="79">
        <f>D18-H18</f>
        <v>2407724.8699999996</v>
      </c>
      <c r="Y18" s="69"/>
    </row>
    <row r="19" spans="1:25" ht="18.75">
      <c r="A19" s="1"/>
      <c r="B19" s="21"/>
      <c r="C19" s="26" t="s">
        <v>22</v>
      </c>
      <c r="D19" s="27">
        <f t="shared" si="4"/>
        <v>6437600</v>
      </c>
      <c r="E19" s="27">
        <f>327600+3000000+2000000+1110000</f>
        <v>6437600</v>
      </c>
      <c r="F19" s="27"/>
      <c r="G19" s="28"/>
      <c r="H19" s="27">
        <f>967227.6+543559.2+129600+884272.8+1164690+6055.65+983298+38257.6</f>
        <v>4716960.85</v>
      </c>
      <c r="I19" s="47">
        <f>H19/D19*100</f>
        <v>73.27204004597986</v>
      </c>
      <c r="J19" s="93"/>
      <c r="K19" s="79">
        <f aca="true" t="shared" si="5" ref="K19:K24">D19-H19</f>
        <v>1720639.1500000004</v>
      </c>
      <c r="Y19" s="69"/>
    </row>
    <row r="20" spans="1:25" ht="18.75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33430+14302.4+16715+233883+3305.69+64418.18+96967.47</f>
        <v>463021.74</v>
      </c>
      <c r="I20" s="47"/>
      <c r="J20" s="93"/>
      <c r="K20" s="79">
        <f t="shared" si="5"/>
        <v>137278.26</v>
      </c>
      <c r="Y20" s="69"/>
    </row>
    <row r="21" spans="1:25" ht="37.5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93"/>
      <c r="K21" s="79">
        <f t="shared" si="5"/>
        <v>28894.269999999902</v>
      </c>
      <c r="Y21" s="69"/>
    </row>
    <row r="22" spans="1:25" ht="18.75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4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104858157.92999999</v>
      </c>
      <c r="I25" s="45">
        <f>H25/D25*100</f>
        <v>91.58405574212037</v>
      </c>
      <c r="J25" s="68">
        <f>H25/(L25+M25+N25+O25+P25+Q25+R25+S25+T25+U25+V25)*100</f>
        <v>99.62054615063293</v>
      </c>
      <c r="K25" s="52">
        <f>L25+M25+N25+O25+P25+Q25+R25+S25+T25+T25+U25+V25-H25</f>
        <v>18473222.12000002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4077128.3200000003</v>
      </c>
      <c r="V25" s="62">
        <f t="shared" si="6"/>
        <v>2103592.43</v>
      </c>
      <c r="W25" s="62">
        <f t="shared" si="6"/>
        <v>9236339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 aca="true" t="shared" si="9" ref="J26:J45">H26/(L26+M26+N26+O26+P26+Q26+R26+S26+T26+U26+V26)*100</f>
        <v>100</v>
      </c>
      <c r="K26" s="52">
        <f aca="true" t="shared" si="10" ref="K26:K89">L26+M26+N26+O26+P26+Q26+R26+S26+T26+T26+U26+V26-H26</f>
        <v>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>
        <v>-250000</v>
      </c>
      <c r="V26" s="43"/>
      <c r="W26" s="43">
        <v>250000</v>
      </c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1" ref="D27:D42">F27</f>
        <v>40000</v>
      </c>
      <c r="E27" s="30"/>
      <c r="F27" s="32">
        <f aca="true" t="shared" si="12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 t="shared" si="9"/>
        <v>100</v>
      </c>
      <c r="K27" s="52">
        <f t="shared" si="10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3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1"/>
        <v>378000</v>
      </c>
      <c r="E28" s="30"/>
      <c r="F28" s="32">
        <f t="shared" si="12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4" ref="I28:I42">H28/D28*100</f>
        <v>99.9891111111111</v>
      </c>
      <c r="J28" s="67">
        <f t="shared" si="9"/>
        <v>99.9891111111111</v>
      </c>
      <c r="K28" s="52">
        <f t="shared" si="10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3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360000</v>
      </c>
      <c r="E29" s="30"/>
      <c r="F29" s="32">
        <f t="shared" si="12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4"/>
        <v>95.91765833333334</v>
      </c>
      <c r="J29" s="67">
        <f t="shared" si="9"/>
        <v>95.91765833333334</v>
      </c>
      <c r="K29" s="52">
        <f t="shared" si="10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3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1"/>
        <v>402000</v>
      </c>
      <c r="E30" s="30"/>
      <c r="F30" s="32">
        <f t="shared" si="12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4"/>
        <v>99.88364925373135</v>
      </c>
      <c r="J30" s="67">
        <f t="shared" si="9"/>
        <v>99.88364925373135</v>
      </c>
      <c r="K30" s="52">
        <f t="shared" si="10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3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1"/>
        <v>700000</v>
      </c>
      <c r="E31" s="30"/>
      <c r="F31" s="32">
        <f t="shared" si="12"/>
        <v>700000</v>
      </c>
      <c r="G31" s="32">
        <f>700000</f>
        <v>700000</v>
      </c>
      <c r="H31" s="25">
        <f>27000+462000+207958.72</f>
        <v>696958.72</v>
      </c>
      <c r="I31" s="46">
        <f t="shared" si="14"/>
        <v>99.56553142857143</v>
      </c>
      <c r="J31" s="67">
        <f t="shared" si="9"/>
        <v>99.56553142857143</v>
      </c>
      <c r="K31" s="52">
        <f t="shared" si="10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3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1"/>
        <v>541000</v>
      </c>
      <c r="E32" s="30"/>
      <c r="F32" s="32">
        <f t="shared" si="12"/>
        <v>541000</v>
      </c>
      <c r="G32" s="32">
        <f>291000+250000</f>
        <v>541000</v>
      </c>
      <c r="H32" s="25">
        <f>30000</f>
        <v>30000</v>
      </c>
      <c r="I32" s="46">
        <f t="shared" si="14"/>
        <v>5.545286506469501</v>
      </c>
      <c r="J32" s="67">
        <f t="shared" si="9"/>
        <v>5.545286506469501</v>
      </c>
      <c r="K32" s="52">
        <f t="shared" si="10"/>
        <v>511000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3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9"/>
        <v>99.5836002875629</v>
      </c>
      <c r="K33" s="52">
        <f t="shared" si="10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1"/>
        <v>1050000</v>
      </c>
      <c r="E34" s="30"/>
      <c r="F34" s="32">
        <f t="shared" si="12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4"/>
        <v>99.8527619047619</v>
      </c>
      <c r="J34" s="67">
        <f t="shared" si="9"/>
        <v>99.8527619047619</v>
      </c>
      <c r="K34" s="52">
        <f t="shared" si="10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1"/>
        <v>7000000</v>
      </c>
      <c r="E35" s="30"/>
      <c r="F35" s="32">
        <f t="shared" si="12"/>
        <v>7000000</v>
      </c>
      <c r="G35" s="32">
        <v>7000000</v>
      </c>
      <c r="H35" s="25">
        <f>146000+118000+3301936+3041280.8+4900000+48434.87</f>
        <v>11555651.67</v>
      </c>
      <c r="I35" s="46">
        <f t="shared" si="14"/>
        <v>165.08073814285714</v>
      </c>
      <c r="J35" s="67">
        <f t="shared" si="9"/>
        <v>165.08073814285714</v>
      </c>
      <c r="K35" s="52">
        <f t="shared" si="10"/>
        <v>-1955651.67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3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59</v>
      </c>
      <c r="D36" s="32">
        <f t="shared" si="11"/>
        <v>29600000</v>
      </c>
      <c r="E36" s="30"/>
      <c r="F36" s="32">
        <f t="shared" si="12"/>
        <v>29600000</v>
      </c>
      <c r="G36" s="32">
        <f>23000000+6600000</f>
        <v>29600000</v>
      </c>
      <c r="H36" s="25">
        <f>250000+350000+11000000+385798+506503.4+2540985.6+1579928.6+21155+3388311.6+2673656.8+17847+3371000+1497174.73+1120305.05+472936.2</f>
        <v>29175601.98</v>
      </c>
      <c r="I36" s="46">
        <f t="shared" si="14"/>
        <v>98.56622290540541</v>
      </c>
      <c r="J36" s="67">
        <f t="shared" si="9"/>
        <v>101.45918062317429</v>
      </c>
      <c r="K36" s="52">
        <f t="shared" si="10"/>
        <v>10680398.02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152379.64+3774249.93-1600000-2300000+3300000-3264000+1500000+920000</f>
        <v>2482629.5700000003</v>
      </c>
      <c r="V36" s="43">
        <f>3073370.43-1535000-1100000-300000</f>
        <v>138370.43000000017</v>
      </c>
      <c r="W36" s="43">
        <f>3500000-1000000-2500000+3264000-1500000-920000</f>
        <v>844000</v>
      </c>
      <c r="X36" s="73">
        <f>SUM(L36:W36)</f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1"/>
        <v>1466600</v>
      </c>
      <c r="E37" s="30"/>
      <c r="F37" s="32">
        <f t="shared" si="12"/>
        <v>1466600</v>
      </c>
      <c r="G37" s="32">
        <f>1281600+185000</f>
        <v>1466600</v>
      </c>
      <c r="H37" s="25">
        <f>80000+35000+1000000</f>
        <v>1115000</v>
      </c>
      <c r="I37" s="46">
        <f t="shared" si="14"/>
        <v>76.02618300831855</v>
      </c>
      <c r="J37" s="67">
        <f t="shared" si="9"/>
        <v>76.02618300831855</v>
      </c>
      <c r="K37" s="52">
        <f t="shared" si="10"/>
        <v>351600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3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1"/>
        <v>49273597</v>
      </c>
      <c r="E38" s="30"/>
      <c r="F38" s="32">
        <f t="shared" si="12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</f>
        <v>42073106.14000001</v>
      </c>
      <c r="I38" s="46">
        <f t="shared" si="14"/>
        <v>85.38671560754943</v>
      </c>
      <c r="J38" s="67">
        <f t="shared" si="9"/>
        <v>98.87629207108284</v>
      </c>
      <c r="K38" s="52">
        <f t="shared" si="10"/>
        <v>5048208.859999992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692000-57666-634334+701511.75-701511.75+2500000-1.25+318500-250000-248339-250000-1500000-1800000+3000000</f>
        <v>1770159.75</v>
      </c>
      <c r="V38" s="43">
        <f>130000-130000+1000000+1.25+1535000+250000+76000-2000000</f>
        <v>861001.25</v>
      </c>
      <c r="W38" s="43">
        <f>3000000+1000000+248339+250000+1500000+1724000-1000000</f>
        <v>6722339</v>
      </c>
      <c r="X38" s="73">
        <f t="shared" si="13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1"/>
        <v>5700000</v>
      </c>
      <c r="E39" s="30"/>
      <c r="F39" s="32">
        <f t="shared" si="12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4"/>
        <v>62.66842105263159</v>
      </c>
      <c r="J39" s="67">
        <f t="shared" si="9"/>
        <v>68.69423076923077</v>
      </c>
      <c r="K39" s="52">
        <f t="shared" si="10"/>
        <v>961900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3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6380000</v>
      </c>
      <c r="E40" s="30"/>
      <c r="F40" s="32">
        <f t="shared" si="12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4"/>
        <v>73.73617319749216</v>
      </c>
      <c r="J40" s="67">
        <f t="shared" si="9"/>
        <v>86.16058333333334</v>
      </c>
      <c r="K40" s="52">
        <f t="shared" si="10"/>
        <v>1135632.1500000004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>
        <v>-920000</v>
      </c>
      <c r="V40" s="43"/>
      <c r="W40" s="43">
        <f>920000</f>
        <v>920000</v>
      </c>
      <c r="X40" s="73">
        <f>SUM(L40:W40)</f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1"/>
        <v>1600000</v>
      </c>
      <c r="E41" s="30"/>
      <c r="F41" s="32">
        <f t="shared" si="12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4"/>
        <v>90.10773750000001</v>
      </c>
      <c r="J41" s="67">
        <f t="shared" si="9"/>
        <v>90.10773750000001</v>
      </c>
      <c r="K41" s="52">
        <f t="shared" si="10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3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104</v>
      </c>
      <c r="D42" s="32">
        <f t="shared" si="11"/>
        <v>89760</v>
      </c>
      <c r="E42" s="30"/>
      <c r="F42" s="32">
        <f t="shared" si="12"/>
        <v>89760</v>
      </c>
      <c r="G42" s="32">
        <v>89760</v>
      </c>
      <c r="H42" s="25">
        <f>30000</f>
        <v>30000</v>
      </c>
      <c r="I42" s="46">
        <f t="shared" si="14"/>
        <v>33.42245989304813</v>
      </c>
      <c r="J42" s="67">
        <f t="shared" si="9"/>
        <v>33.42245989304813</v>
      </c>
      <c r="K42" s="52">
        <f t="shared" si="10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3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9"/>
        <v>81.73048584415584</v>
      </c>
      <c r="K43" s="52">
        <f t="shared" si="10"/>
        <v>1378531.8400000008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3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9"/>
        <v>100</v>
      </c>
      <c r="K44" s="52">
        <f t="shared" si="10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9"/>
        <v>100.00000000000016</v>
      </c>
      <c r="K45" s="52">
        <f t="shared" si="10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3"/>
        <v>256188.79999999958</v>
      </c>
      <c r="Y45" s="74">
        <f t="shared" si="8"/>
        <v>2.3283064365386963E-10</v>
      </c>
    </row>
    <row r="46" spans="1:25" s="16" customFormat="1" ht="24" customHeight="1">
      <c r="A46" s="86" t="s">
        <v>28</v>
      </c>
      <c r="B46" s="87"/>
      <c r="C46" s="87"/>
      <c r="D46" s="87"/>
      <c r="E46" s="87"/>
      <c r="F46" s="87"/>
      <c r="G46" s="87"/>
      <c r="H46" s="87"/>
      <c r="I46" s="87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72050276.33000001</v>
      </c>
      <c r="I47" s="64">
        <f>H47/D47*100</f>
        <v>62.7459819904552</v>
      </c>
      <c r="J47" s="64">
        <f>H48/(L48+M48+N48+O48+P48+Q48+R48+S48+T48+U48+V48)*100</f>
        <v>64.42874589091814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72050276.33000001</v>
      </c>
      <c r="I48" s="48">
        <f>H48/D48*100</f>
        <v>62.7459819904552</v>
      </c>
      <c r="J48" s="68">
        <f>H48/(L48+M48+N48+O48+P48+Q48+R48+S48+T48+U48+V48)*100</f>
        <v>64.42874589091814</v>
      </c>
      <c r="K48" s="52">
        <f t="shared" si="10"/>
        <v>58977500.649999976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 aca="true" t="shared" si="18" ref="J49:J98">H49/(L49+M49+N49+O49+P49+Q49+R49+S49+T49+U49+V49)*100</f>
        <v>99.97009562848389</v>
      </c>
      <c r="K49" s="52">
        <f t="shared" si="10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9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t="shared" si="18"/>
        <v>0</v>
      </c>
      <c r="K50" s="52">
        <f t="shared" si="10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9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10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9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8"/>
        <v>0</v>
      </c>
      <c r="K52" s="52">
        <f t="shared" si="10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9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8"/>
        <v>0</v>
      </c>
      <c r="K53" s="52">
        <f t="shared" si="10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9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8"/>
        <v>82.76946521739131</v>
      </c>
      <c r="K54" s="52">
        <f t="shared" si="10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9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8"/>
        <v>98.95684237288135</v>
      </c>
      <c r="K55" s="52">
        <f t="shared" si="10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10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9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8"/>
        <v>0</v>
      </c>
      <c r="K57" s="52">
        <f t="shared" si="10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9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8"/>
        <v>30</v>
      </c>
      <c r="K58" s="52">
        <f t="shared" si="10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9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8"/>
        <v>0</v>
      </c>
      <c r="K59" s="52">
        <f t="shared" si="10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9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10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9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8"/>
        <v>0</v>
      </c>
      <c r="K61" s="52">
        <f t="shared" si="10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8"/>
        <v>0</v>
      </c>
      <c r="K62" s="52">
        <f t="shared" si="10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9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8"/>
        <v>0</v>
      </c>
      <c r="K63" s="52">
        <f t="shared" si="10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8"/>
        <v>30</v>
      </c>
      <c r="K64" s="52">
        <f t="shared" si="10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8"/>
        <v>0</v>
      </c>
      <c r="K65" s="52">
        <f t="shared" si="10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8"/>
        <v>100</v>
      </c>
      <c r="K66" s="52">
        <f t="shared" si="10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9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8"/>
        <v>39.482256016108764</v>
      </c>
      <c r="K67" s="52">
        <f t="shared" si="10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9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8"/>
        <v>16.477771999999998</v>
      </c>
      <c r="K68" s="52">
        <f t="shared" si="10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9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8"/>
        <v>0</v>
      </c>
      <c r="K69" s="52">
        <f t="shared" si="10"/>
        <v>260000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>
        <f t="shared" si="18"/>
        <v>0</v>
      </c>
      <c r="K70" s="52">
        <f t="shared" si="10"/>
        <v>150000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300000+3000000+156232+1500000</f>
        <v>4956232</v>
      </c>
      <c r="I72" s="46">
        <f>H72/D72*100</f>
        <v>38.84194357366771</v>
      </c>
      <c r="J72" s="67">
        <f t="shared" si="18"/>
        <v>38.84194357366771</v>
      </c>
      <c r="K72" s="52">
        <f t="shared" si="10"/>
        <v>14333768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6182.05+6000000+1080000+1700000-1162569.24+62537.98</f>
        <v>7686150.790000001</v>
      </c>
      <c r="I73" s="25">
        <f>H73/D73*100</f>
        <v>39.33546975435006</v>
      </c>
      <c r="J73" s="67">
        <f t="shared" si="18"/>
        <v>39.576122453370445</v>
      </c>
      <c r="K73" s="52">
        <f t="shared" si="10"/>
        <v>14255031.26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9"/>
        <v>0</v>
      </c>
    </row>
    <row r="74" spans="1:25" s="77" customFormat="1" ht="22.5" customHeight="1">
      <c r="A74" s="1"/>
      <c r="B74" s="29"/>
      <c r="C74" s="31" t="s">
        <v>116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>
        <f t="shared" si="18"/>
        <v>0</v>
      </c>
      <c r="K74" s="52">
        <f t="shared" si="10"/>
        <v>150000</v>
      </c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9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8"/>
        <v>48.50168</v>
      </c>
      <c r="K75" s="52">
        <f t="shared" si="10"/>
        <v>1991548.76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9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8"/>
        <v>87.34227422965412</v>
      </c>
      <c r="K76" s="52">
        <f t="shared" si="10"/>
        <v>292966.4900000002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9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8"/>
        <v>87.5597733227471</v>
      </c>
      <c r="K77" s="52">
        <f t="shared" si="10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9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8"/>
        <v>31.614284000000005</v>
      </c>
      <c r="K78" s="52">
        <f t="shared" si="10"/>
        <v>2735428.6399999997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8"/>
        <v>0</v>
      </c>
      <c r="K79" s="52">
        <f t="shared" si="10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8"/>
        <v>0</v>
      </c>
      <c r="K80" s="52">
        <f t="shared" si="10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9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>
        <f>21124</f>
        <v>21124</v>
      </c>
      <c r="I81" s="46"/>
      <c r="J81" s="67">
        <f t="shared" si="18"/>
        <v>26.405</v>
      </c>
      <c r="K81" s="52">
        <f t="shared" si="10"/>
        <v>138876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9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8"/>
        <v>0</v>
      </c>
      <c r="K82" s="52">
        <f t="shared" si="10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9"/>
        <v>0</v>
      </c>
    </row>
    <row r="83" spans="1:26" s="77" customFormat="1" ht="42" customHeight="1">
      <c r="A83" s="1"/>
      <c r="B83" s="29"/>
      <c r="C83" s="55" t="s">
        <v>114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60">
        <f>1400000+4300000+1082142+1437858+23357.42+1714649.98+3000000+31555.91+92107+2668598.4+1161297.6+55871.32</f>
        <v>16967437.630000003</v>
      </c>
      <c r="I83" s="46">
        <f>H83/D83*100</f>
        <v>90.70100833912441</v>
      </c>
      <c r="J83" s="67">
        <f t="shared" si="18"/>
        <v>91.09055473237775</v>
      </c>
      <c r="K83" s="52">
        <f t="shared" si="10"/>
        <v>8537062.369999997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9"/>
        <v>0</v>
      </c>
      <c r="Z83" s="60">
        <v>1000000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8"/>
        <v>82.10184325215685</v>
      </c>
      <c r="K84" s="52">
        <f t="shared" si="10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8"/>
        <v>44.439665354330714</v>
      </c>
      <c r="K85" s="52">
        <f t="shared" si="10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9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8"/>
        <v>95.0108714739229</v>
      </c>
      <c r="K86" s="52">
        <f t="shared" si="10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9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8"/>
        <v>0</v>
      </c>
      <c r="K87" s="52">
        <f t="shared" si="10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9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8"/>
        <v>0</v>
      </c>
      <c r="K88" s="52">
        <f t="shared" si="10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9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8"/>
        <v>0</v>
      </c>
      <c r="K89" s="52">
        <f t="shared" si="10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5265.6+5180849.77</f>
        <v>5186115.369999999</v>
      </c>
      <c r="I90" s="25">
        <f>H90/D90*100</f>
        <v>49.17614036989496</v>
      </c>
      <c r="J90" s="67">
        <f t="shared" si="18"/>
        <v>51.222679696180684</v>
      </c>
      <c r="K90" s="52">
        <f aca="true" t="shared" si="22" ref="K90:K99">L90+M90+N90+O90+P90+Q90+R90+S90+T90+T90+U90+V90-H90</f>
        <v>3687771.130000001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142252.63+432941+1478765</f>
        <v>2053958.63</v>
      </c>
      <c r="I91" s="46">
        <f>H91/D91*100</f>
        <v>57.29152966444451</v>
      </c>
      <c r="J91" s="67">
        <f t="shared" si="18"/>
        <v>57.30347546747932</v>
      </c>
      <c r="K91" s="52">
        <f t="shared" si="22"/>
        <v>3599544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8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8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9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139785.59+164838.36+4545.63+134831.92+1999.26</f>
        <v>446000.76</v>
      </c>
      <c r="I94" s="46">
        <f>H94/D94*100</f>
        <v>82.89976951672863</v>
      </c>
      <c r="J94" s="67">
        <f t="shared" si="18"/>
        <v>82.89976951672863</v>
      </c>
      <c r="K94" s="52">
        <f t="shared" si="22"/>
        <v>271999.24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9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8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9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8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9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8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9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8"/>
        <v>0</v>
      </c>
      <c r="K98" s="52">
        <f t="shared" si="22"/>
        <v>1181074.46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9"/>
        <v>0</v>
      </c>
    </row>
    <row r="99" spans="1:25" ht="18.75">
      <c r="A99" s="33"/>
      <c r="B99" s="18"/>
      <c r="C99" s="34" t="s">
        <v>9</v>
      </c>
      <c r="D99" s="20">
        <f>D8+D47</f>
        <v>274034458.07</v>
      </c>
      <c r="E99" s="20">
        <f>E8+E47</f>
        <v>44712047.07</v>
      </c>
      <c r="F99" s="20">
        <f>F8+F47</f>
        <v>229322411</v>
      </c>
      <c r="G99" s="20">
        <f>G8+G47</f>
        <v>229322411</v>
      </c>
      <c r="H99" s="20">
        <f>H8+H47</f>
        <v>209749828.20000002</v>
      </c>
      <c r="I99" s="44">
        <f>H99/D99*100</f>
        <v>76.54140639000262</v>
      </c>
      <c r="J99" s="44">
        <f>H99/(L99+M99+N99+O99+P99+Q99+R99+S99+T99+U99+V99)*100</f>
        <v>81.59284521017982</v>
      </c>
      <c r="K99" s="52">
        <f t="shared" si="22"/>
        <v>86310611.64999989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35148965.41</v>
      </c>
      <c r="V99" s="20">
        <f t="shared" si="23"/>
        <v>15668347.779999997</v>
      </c>
      <c r="W99" s="20">
        <f t="shared" si="23"/>
        <v>13327559.86</v>
      </c>
      <c r="X99" s="20">
        <f t="shared" si="23"/>
        <v>270396458.07</v>
      </c>
      <c r="Y99" s="69">
        <f>D99-X99</f>
        <v>3638000</v>
      </c>
    </row>
    <row r="100" spans="1:25" ht="18.75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9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9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2016-11-07T13:54:45Z</dcterms:modified>
  <cp:category/>
  <cp:version/>
  <cp:contentType/>
  <cp:contentStatus/>
</cp:coreProperties>
</file>